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a2191\Desktop\"/>
    </mc:Choice>
  </mc:AlternateContent>
  <bookViews>
    <workbookView xWindow="0" yWindow="0" windowWidth="7635" windowHeight="765"/>
  </bookViews>
  <sheets>
    <sheet name="Edwin" sheetId="1" r:id="rId1"/>
    <sheet name="EdmundOptic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2" i="1"/>
  <c r="C2" i="1"/>
  <c r="B17" i="1" s="1"/>
  <c r="D25" i="1"/>
  <c r="B2" i="1"/>
  <c r="C2" i="2"/>
  <c r="B2" i="2"/>
  <c r="A2" i="2"/>
  <c r="A27" i="1"/>
  <c r="B5" i="2"/>
  <c r="A5" i="2"/>
  <c r="C5" i="2" s="1"/>
  <c r="A8" i="2" s="1"/>
  <c r="F2" i="1"/>
  <c r="C33" i="1" l="1"/>
  <c r="C36" i="1" s="1"/>
  <c r="B22" i="1"/>
  <c r="A8" i="1"/>
  <c r="B25" i="1" s="1"/>
  <c r="B8" i="2"/>
  <c r="C8" i="2"/>
  <c r="B11" i="2"/>
  <c r="C11" i="2"/>
  <c r="F17" i="1"/>
  <c r="B11" i="1" l="1"/>
  <c r="C17" i="1" s="1"/>
  <c r="A18" i="1" s="1"/>
  <c r="C11" i="1"/>
  <c r="C14" i="1" s="1"/>
  <c r="B27" i="1" s="1"/>
  <c r="F27" i="1" s="1"/>
  <c r="D11" i="2"/>
  <c r="C14" i="2"/>
  <c r="B14" i="2"/>
  <c r="D8" i="2"/>
  <c r="E17" i="1" l="1"/>
  <c r="G18" i="1" s="1"/>
  <c r="G17" i="1"/>
  <c r="D11" i="1"/>
  <c r="B14" i="1"/>
  <c r="A17" i="1" s="1"/>
  <c r="I39" i="1" s="1"/>
  <c r="J39" i="1" s="1"/>
  <c r="K39" i="1" s="1"/>
  <c r="L39" i="1" s="1"/>
  <c r="A25" i="1" l="1"/>
  <c r="F25" i="1" s="1"/>
  <c r="M39" i="1"/>
  <c r="G25" i="1" l="1"/>
  <c r="G22" i="1" s="1"/>
  <c r="A33" i="1" s="1"/>
  <c r="H22" i="1" l="1"/>
  <c r="D33" i="1" l="1"/>
  <c r="D36" i="1"/>
</calcChain>
</file>

<file path=xl/sharedStrings.xml><?xml version="1.0" encoding="utf-8"?>
<sst xmlns="http://schemas.openxmlformats.org/spreadsheetml/2006/main" count="63" uniqueCount="56">
  <si>
    <t>n_L</t>
  </si>
  <si>
    <t>n_M</t>
  </si>
  <si>
    <t>R1</t>
  </si>
  <si>
    <t>R2</t>
  </si>
  <si>
    <t>d</t>
  </si>
  <si>
    <t>h1</t>
  </si>
  <si>
    <t>h2</t>
  </si>
  <si>
    <t>V1</t>
  </si>
  <si>
    <t>V2</t>
  </si>
  <si>
    <t>H1</t>
  </si>
  <si>
    <t>H2</t>
  </si>
  <si>
    <t>FFL</t>
  </si>
  <si>
    <t>BFL</t>
  </si>
  <si>
    <t>center</t>
  </si>
  <si>
    <t>P</t>
  </si>
  <si>
    <t>P"</t>
  </si>
  <si>
    <t>ET</t>
  </si>
  <si>
    <t>N_os</t>
  </si>
  <si>
    <t>N_L</t>
  </si>
  <si>
    <t>CT</t>
  </si>
  <si>
    <t>N_is</t>
  </si>
  <si>
    <t>phi_is</t>
  </si>
  <si>
    <t>phi_os</t>
  </si>
  <si>
    <t>PHI</t>
  </si>
  <si>
    <t>EFL</t>
  </si>
  <si>
    <t>f_F</t>
  </si>
  <si>
    <t>f_R</t>
  </si>
  <si>
    <t>NPS</t>
  </si>
  <si>
    <t>N</t>
  </si>
  <si>
    <t>FP1</t>
  </si>
  <si>
    <t>FP2</t>
  </si>
  <si>
    <t>obj_pos</t>
  </si>
  <si>
    <t>ima_pos</t>
  </si>
  <si>
    <t>C1</t>
  </si>
  <si>
    <t>C2</t>
  </si>
  <si>
    <t>C</t>
  </si>
  <si>
    <t>C3</t>
  </si>
  <si>
    <t>C4</t>
  </si>
  <si>
    <t>Mag</t>
  </si>
  <si>
    <t>https://phys.libretexts.org/Bookshelves/Optics/Geometric_Optics_(Tatum)/02%3A_Lens_and_Mirror_Calculations/2.11%3A_Thick_Lenses</t>
  </si>
  <si>
    <t>B</t>
  </si>
  <si>
    <t>A</t>
  </si>
  <si>
    <t>D</t>
  </si>
  <si>
    <t>V</t>
  </si>
  <si>
    <t>k</t>
  </si>
  <si>
    <t>kV'</t>
  </si>
  <si>
    <t>V'</t>
  </si>
  <si>
    <t>obj_V1</t>
  </si>
  <si>
    <t>ima_V2</t>
  </si>
  <si>
    <t>http://hyperphysics.phy-astr.gsu.edu/hbase/geoopt/imgsys.html#c1</t>
  </si>
  <si>
    <t xml:space="preserve">ONLY ENTER VALUES FOR RED USING METERS </t>
  </si>
  <si>
    <t>y_o</t>
  </si>
  <si>
    <t>y_i</t>
  </si>
  <si>
    <t>ALL DISTANCES ARE REPORTED IN METERS</t>
  </si>
  <si>
    <t>spec2im</t>
  </si>
  <si>
    <t>spec2obj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</si>
</sst>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14</xdr:row>
      <xdr:rowOff>0</xdr:rowOff>
    </xdr:from>
    <xdr:to>
      <xdr:col>12</xdr:col>
      <xdr:colOff>304800</xdr:colOff>
      <xdr:row>15</xdr:row>
      <xdr:rowOff>114300</xdr:rowOff>
    </xdr:to>
    <xdr:sp macro="" textlink="">
      <xdr:nvSpPr>
        <xdr:cNvPr id="1025" name="AutoShape 1" descr="Zemax Simple Lens P5.png"/>
        <xdr:cNvSpPr>
          <a:spLocks noChangeAspect="1" noChangeArrowheads="1"/>
        </xdr:cNvSpPr>
      </xdr:nvSpPr>
      <xdr:spPr bwMode="auto">
        <a:xfrm>
          <a:off x="7315200" y="266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46</xdr:col>
      <xdr:colOff>0</xdr:colOff>
      <xdr:row>82</xdr:row>
      <xdr:rowOff>114300</xdr:rowOff>
    </xdr:to>
    <xdr:sp macro="" textlink="">
      <xdr:nvSpPr>
        <xdr:cNvPr id="1027" name="AutoShape 3" descr="Zemax Simple Lens P5.png"/>
        <xdr:cNvSpPr>
          <a:spLocks noChangeAspect="1" noChangeArrowheads="1"/>
        </xdr:cNvSpPr>
      </xdr:nvSpPr>
      <xdr:spPr bwMode="auto">
        <a:xfrm>
          <a:off x="8534400" y="2857500"/>
          <a:ext cx="19507200" cy="1289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0</xdr:row>
      <xdr:rowOff>95250</xdr:rowOff>
    </xdr:from>
    <xdr:to>
      <xdr:col>24</xdr:col>
      <xdr:colOff>38099</xdr:colOff>
      <xdr:row>35</xdr:row>
      <xdr:rowOff>51040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92" t="3885" r="8317" b="5036"/>
        <a:stretch/>
      </xdr:blipFill>
      <xdr:spPr>
        <a:xfrm>
          <a:off x="5067300" y="95250"/>
          <a:ext cx="9601199" cy="6642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0</xdr:rowOff>
    </xdr:from>
    <xdr:to>
      <xdr:col>16</xdr:col>
      <xdr:colOff>305691</xdr:colOff>
      <xdr:row>42</xdr:row>
      <xdr:rowOff>86854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0" y="0"/>
          <a:ext cx="6382641" cy="8087854"/>
        </a:xfrm>
        <a:prstGeom prst="rect">
          <a:avLst/>
        </a:prstGeom>
      </xdr:spPr>
    </xdr:pic>
    <xdr:clientData/>
  </xdr:twoCellAnchor>
  <xdr:twoCellAnchor editAs="oneCell">
    <xdr:from>
      <xdr:col>16</xdr:col>
      <xdr:colOff>400050</xdr:colOff>
      <xdr:row>0</xdr:row>
      <xdr:rowOff>85725</xdr:rowOff>
    </xdr:from>
    <xdr:to>
      <xdr:col>21</xdr:col>
      <xdr:colOff>552897</xdr:colOff>
      <xdr:row>36</xdr:row>
      <xdr:rowOff>39051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3650" y="85725"/>
          <a:ext cx="3200847" cy="6811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Normal="100" workbookViewId="0">
      <selection activeCell="F34" sqref="F34"/>
    </sheetView>
  </sheetViews>
  <sheetFormatPr defaultRowHeight="15" x14ac:dyDescent="0.25"/>
  <cols>
    <col min="8" max="8" width="9.140625" customWidth="1"/>
  </cols>
  <sheetData>
    <row r="1" spans="1:7" x14ac:dyDescent="0.25">
      <c r="A1" t="s">
        <v>2</v>
      </c>
      <c r="B1" t="s">
        <v>3</v>
      </c>
      <c r="C1" t="s">
        <v>4</v>
      </c>
      <c r="D1" t="s">
        <v>1</v>
      </c>
      <c r="E1" t="s">
        <v>0</v>
      </c>
      <c r="F1" t="s">
        <v>28</v>
      </c>
    </row>
    <row r="2" spans="1:7" x14ac:dyDescent="0.25">
      <c r="A2" s="16">
        <f>10/1000</f>
        <v>0.01</v>
      </c>
      <c r="B2" s="16">
        <f>-15/1000</f>
        <v>-1.4999999999999999E-2</v>
      </c>
      <c r="C2" s="16">
        <f>5/1000</f>
        <v>5.0000000000000001E-3</v>
      </c>
      <c r="D2" s="4">
        <v>1.0003</v>
      </c>
      <c r="E2" s="4">
        <v>2.0220400000000001</v>
      </c>
      <c r="F2">
        <f>E2/D2</f>
        <v>2.0214335699290213</v>
      </c>
    </row>
    <row r="4" spans="1:7" x14ac:dyDescent="0.25">
      <c r="A4" s="6" t="s">
        <v>50</v>
      </c>
      <c r="B4" s="6"/>
      <c r="C4" s="6"/>
      <c r="D4" s="6"/>
      <c r="E4" s="6"/>
    </row>
    <row r="5" spans="1:7" x14ac:dyDescent="0.25">
      <c r="A5" s="6" t="s">
        <v>53</v>
      </c>
      <c r="B5" s="6"/>
      <c r="C5" s="6"/>
      <c r="D5" s="6"/>
      <c r="E5" s="6"/>
    </row>
    <row r="7" spans="1:7" x14ac:dyDescent="0.25">
      <c r="A7" t="s">
        <v>24</v>
      </c>
    </row>
    <row r="8" spans="1:7" x14ac:dyDescent="0.25">
      <c r="A8">
        <f>1/( (F2-1) * (1/A2 - 1/B2 + (F2-1)*C2/(E2*A2*B2)) )</f>
        <v>6.5342527222771547E-3</v>
      </c>
    </row>
    <row r="10" spans="1:7" x14ac:dyDescent="0.25">
      <c r="B10" s="3" t="s">
        <v>5</v>
      </c>
      <c r="C10" s="3" t="s">
        <v>6</v>
      </c>
      <c r="D10" t="s">
        <v>16</v>
      </c>
    </row>
    <row r="11" spans="1:7" x14ac:dyDescent="0.25">
      <c r="B11">
        <f xml:space="preserve"> -(A8*C2*(F2-1))/(B2*E2)</f>
        <v>1.1002593230819667E-3</v>
      </c>
      <c r="C11">
        <f>-(A8*C2*(F2-1))/(A2*E2)</f>
        <v>-1.6503889846229503E-3</v>
      </c>
      <c r="D11">
        <f>B11-C11</f>
        <v>2.7506483077049167E-3</v>
      </c>
    </row>
    <row r="13" spans="1:7" x14ac:dyDescent="0.25">
      <c r="B13" t="s">
        <v>11</v>
      </c>
      <c r="C13" t="s">
        <v>12</v>
      </c>
    </row>
    <row r="14" spans="1:7" x14ac:dyDescent="0.25">
      <c r="B14">
        <f>B11-A8</f>
        <v>-5.433993399195188E-3</v>
      </c>
      <c r="C14">
        <f>A8+C11</f>
        <v>4.8838637376542047E-3</v>
      </c>
    </row>
    <row r="16" spans="1:7" x14ac:dyDescent="0.25">
      <c r="A16" s="1" t="s">
        <v>29</v>
      </c>
      <c r="B16" s="1" t="s">
        <v>7</v>
      </c>
      <c r="C16" s="1" t="s">
        <v>9</v>
      </c>
      <c r="D16" s="1" t="s">
        <v>13</v>
      </c>
      <c r="E16" s="1" t="s">
        <v>10</v>
      </c>
      <c r="F16" s="1" t="s">
        <v>8</v>
      </c>
      <c r="G16" s="1" t="s">
        <v>30</v>
      </c>
    </row>
    <row r="17" spans="1:8" x14ac:dyDescent="0.25">
      <c r="A17">
        <f>B17+B14</f>
        <v>-7.9339933991951876E-3</v>
      </c>
      <c r="B17">
        <f>D17 - C2/2</f>
        <v>-2.5000000000000001E-3</v>
      </c>
      <c r="C17">
        <f>B17+B11</f>
        <v>-1.3997406769180334E-3</v>
      </c>
      <c r="D17">
        <v>0</v>
      </c>
      <c r="E17">
        <f>F17+C11</f>
        <v>8.4961101537704979E-4</v>
      </c>
      <c r="F17">
        <f>B17+C2</f>
        <v>2.5000000000000001E-3</v>
      </c>
      <c r="G17">
        <f>F17+C14</f>
        <v>7.3838637376542043E-3</v>
      </c>
    </row>
    <row r="18" spans="1:8" x14ac:dyDescent="0.25">
      <c r="A18">
        <f>C17-A8</f>
        <v>-7.9339933991951876E-3</v>
      </c>
      <c r="G18">
        <f>E17+A8</f>
        <v>7.3838637376542043E-3</v>
      </c>
    </row>
    <row r="21" spans="1:8" x14ac:dyDescent="0.25">
      <c r="A21" t="s">
        <v>47</v>
      </c>
      <c r="B21" s="1" t="s">
        <v>31</v>
      </c>
      <c r="G21" t="s">
        <v>48</v>
      </c>
      <c r="H21" s="1" t="s">
        <v>32</v>
      </c>
    </row>
    <row r="22" spans="1:8" x14ac:dyDescent="0.25">
      <c r="A22" s="16">
        <f>A17</f>
        <v>-7.9339933991951876E-3</v>
      </c>
      <c r="B22">
        <f>A22+B17</f>
        <v>-1.0433993399195188E-2</v>
      </c>
      <c r="G22">
        <f>1/G25</f>
        <v>2.1962447193088777E-2</v>
      </c>
      <c r="H22">
        <f>G22+F17</f>
        <v>2.4462447193088776E-2</v>
      </c>
    </row>
    <row r="24" spans="1:8" x14ac:dyDescent="0.25">
      <c r="A24" s="7" t="s">
        <v>40</v>
      </c>
      <c r="B24" s="8" t="s">
        <v>41</v>
      </c>
      <c r="C24" s="8"/>
      <c r="D24" s="8" t="s">
        <v>43</v>
      </c>
      <c r="E24" s="8"/>
      <c r="F24" s="8" t="s">
        <v>45</v>
      </c>
      <c r="G24" s="9" t="s">
        <v>46</v>
      </c>
    </row>
    <row r="25" spans="1:8" x14ac:dyDescent="0.25">
      <c r="A25" s="10">
        <f>-B14*B25</f>
        <v>0.83161665612796631</v>
      </c>
      <c r="B25" s="11">
        <f>1/A8</f>
        <v>153.03968831672384</v>
      </c>
      <c r="C25" s="11"/>
      <c r="D25" s="11">
        <f>1/A22</f>
        <v>-126.03993344655902</v>
      </c>
      <c r="E25" s="11"/>
      <c r="F25" s="11">
        <f>A25*D25 + B25*D27</f>
        <v>48.22278032530501</v>
      </c>
      <c r="G25" s="12">
        <f>F25/F27</f>
        <v>45.532266564296336</v>
      </c>
    </row>
    <row r="26" spans="1:8" x14ac:dyDescent="0.25">
      <c r="A26" s="10" t="s">
        <v>42</v>
      </c>
      <c r="B26" s="11" t="s">
        <v>35</v>
      </c>
      <c r="C26" s="11"/>
      <c r="D26" s="11"/>
      <c r="E26" s="11"/>
      <c r="F26" s="11" t="s">
        <v>44</v>
      </c>
      <c r="G26" s="12"/>
    </row>
    <row r="27" spans="1:8" x14ac:dyDescent="0.25">
      <c r="A27" s="13">
        <f>-C2/E2</f>
        <v>-2.4727502917845346E-3</v>
      </c>
      <c r="B27" s="14">
        <f>C14*B25</f>
        <v>0.74742498419194936</v>
      </c>
      <c r="C27" s="14"/>
      <c r="D27" s="14">
        <v>1</v>
      </c>
      <c r="E27" s="14"/>
      <c r="F27" s="14">
        <f>A27*D25 +B27*D27</f>
        <v>1.0590902663984316</v>
      </c>
      <c r="G27" s="15"/>
    </row>
    <row r="29" spans="1:8" x14ac:dyDescent="0.25">
      <c r="A29" t="s">
        <v>49</v>
      </c>
    </row>
    <row r="31" spans="1:8" ht="15.75" thickBot="1" x14ac:dyDescent="0.3"/>
    <row r="32" spans="1:8" x14ac:dyDescent="0.25">
      <c r="A32" s="17" t="s">
        <v>38</v>
      </c>
      <c r="B32" s="18"/>
      <c r="C32" s="18" t="s">
        <v>51</v>
      </c>
      <c r="D32" s="19" t="s">
        <v>52</v>
      </c>
    </row>
    <row r="33" spans="1:13" ht="15.75" thickBot="1" x14ac:dyDescent="0.3">
      <c r="A33" s="20">
        <f xml:space="preserve"> -G22/A22</f>
        <v>2.7681453825404763</v>
      </c>
      <c r="B33" s="21"/>
      <c r="C33" s="23">
        <f xml:space="preserve"> (-A22*TAN(30*PI()/180))*2+6/1000/1000</f>
        <v>9.1673864495481119E-3</v>
      </c>
      <c r="D33" s="22">
        <f xml:space="preserve"> -A33*C33</f>
        <v>-2.5376658470280738E-2</v>
      </c>
    </row>
    <row r="35" spans="1:13" x14ac:dyDescent="0.25">
      <c r="C35" t="s">
        <v>55</v>
      </c>
      <c r="D35" t="s">
        <v>54</v>
      </c>
    </row>
    <row r="36" spans="1:13" x14ac:dyDescent="0.25">
      <c r="C36">
        <f>100*C33</f>
        <v>0.91673864495481117</v>
      </c>
      <c r="D36">
        <f>C36*A33</f>
        <v>2.5376658470280735</v>
      </c>
    </row>
    <row r="38" spans="1:13" x14ac:dyDescent="0.25">
      <c r="I38" s="2" t="s">
        <v>33</v>
      </c>
      <c r="J38" s="2" t="s">
        <v>34</v>
      </c>
      <c r="K38" s="2" t="s">
        <v>36</v>
      </c>
      <c r="L38" s="2" t="s">
        <v>37</v>
      </c>
      <c r="M38" s="2" t="s">
        <v>38</v>
      </c>
    </row>
    <row r="39" spans="1:13" x14ac:dyDescent="0.25">
      <c r="C39" s="4"/>
      <c r="D39" s="5"/>
      <c r="E39" s="5"/>
      <c r="I39" s="2">
        <f>D2/B22</f>
        <v>-95.869334178144754</v>
      </c>
      <c r="J39" s="2">
        <f>I39 + F2/A2</f>
        <v>106.27402281475739</v>
      </c>
      <c r="K39" s="2">
        <f>(E2*J39)/(E2 - C2*J39)</f>
        <v>144.15688350666053</v>
      </c>
      <c r="L39" s="2">
        <f>K39 + (-F2)/B2</f>
        <v>278.91912150192866</v>
      </c>
      <c r="M39" s="2">
        <f>(I39*K39)/(J39*L39)</f>
        <v>-0.46624016844704175</v>
      </c>
    </row>
    <row r="40" spans="1:13" x14ac:dyDescent="0.25">
      <c r="C40" s="5"/>
      <c r="D40" s="5"/>
      <c r="E40" s="4"/>
      <c r="I40" s="2"/>
      <c r="J40" s="2"/>
      <c r="K40" s="2"/>
      <c r="L40" s="2"/>
      <c r="M40" s="2"/>
    </row>
    <row r="41" spans="1:13" x14ac:dyDescent="0.25">
      <c r="I41" s="2" t="s">
        <v>39</v>
      </c>
      <c r="J41" s="2"/>
      <c r="K41" s="2"/>
      <c r="L41" s="2"/>
      <c r="M41" s="2"/>
    </row>
  </sheetData>
  <mergeCells count="2"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3" sqref="C3"/>
    </sheetView>
  </sheetViews>
  <sheetFormatPr defaultRowHeight="15" x14ac:dyDescent="0.25"/>
  <cols>
    <col min="2" max="3" width="9.140625" customWidth="1"/>
  </cols>
  <sheetData>
    <row r="1" spans="1:6" x14ac:dyDescent="0.25">
      <c r="A1" t="s">
        <v>2</v>
      </c>
      <c r="B1" t="s">
        <v>3</v>
      </c>
      <c r="C1" t="s">
        <v>19</v>
      </c>
      <c r="D1" t="s">
        <v>17</v>
      </c>
      <c r="E1" t="s">
        <v>20</v>
      </c>
      <c r="F1" t="s">
        <v>18</v>
      </c>
    </row>
    <row r="2" spans="1:6" x14ac:dyDescent="0.25">
      <c r="A2" s="4">
        <f>15/1000</f>
        <v>1.4999999999999999E-2</v>
      </c>
      <c r="B2" s="4">
        <f>-15/1000</f>
        <v>-1.4999999999999999E-2</v>
      </c>
      <c r="C2" s="4">
        <f>5/1000</f>
        <v>5.0000000000000001E-3</v>
      </c>
      <c r="D2" s="4">
        <v>1.0003</v>
      </c>
      <c r="E2" s="4">
        <v>1.0003</v>
      </c>
      <c r="F2" s="4">
        <v>1.5</v>
      </c>
    </row>
    <row r="4" spans="1:6" x14ac:dyDescent="0.25">
      <c r="A4" t="s">
        <v>22</v>
      </c>
      <c r="B4" t="s">
        <v>21</v>
      </c>
      <c r="C4" t="s">
        <v>23</v>
      </c>
    </row>
    <row r="5" spans="1:6" x14ac:dyDescent="0.25">
      <c r="A5">
        <f>(F2-E2)/A2</f>
        <v>33.31333333333334</v>
      </c>
      <c r="B5">
        <f>(E2-F2)/B2</f>
        <v>33.31333333333334</v>
      </c>
      <c r="C5">
        <f>A5+B5-A5*B5*C2/F2</f>
        <v>62.927406074074085</v>
      </c>
    </row>
    <row r="7" spans="1:6" x14ac:dyDescent="0.25">
      <c r="A7" t="s">
        <v>24</v>
      </c>
      <c r="B7" t="s">
        <v>25</v>
      </c>
      <c r="C7" t="s">
        <v>26</v>
      </c>
      <c r="D7" t="s">
        <v>27</v>
      </c>
    </row>
    <row r="8" spans="1:6" x14ac:dyDescent="0.25">
      <c r="A8">
        <f>1/C5</f>
        <v>1.5891327203648987E-2</v>
      </c>
      <c r="B8">
        <f>-D2*A8</f>
        <v>-1.589609460181008E-2</v>
      </c>
      <c r="C8">
        <f>E2*A8</f>
        <v>1.589609460181008E-2</v>
      </c>
      <c r="D8">
        <f>B8+C8</f>
        <v>0</v>
      </c>
    </row>
    <row r="10" spans="1:6" x14ac:dyDescent="0.25">
      <c r="B10" t="s">
        <v>14</v>
      </c>
      <c r="C10" t="s">
        <v>15</v>
      </c>
      <c r="D10" t="s">
        <v>16</v>
      </c>
    </row>
    <row r="11" spans="1:6" x14ac:dyDescent="0.25">
      <c r="B11">
        <f>(B5/C5)*(D2/F2)*C2</f>
        <v>1.7651729938943331E-3</v>
      </c>
      <c r="C11">
        <f>-(A5/C5)*(E2/F2)*C2</f>
        <v>-1.7651729938943331E-3</v>
      </c>
      <c r="D11">
        <f>B11-C11</f>
        <v>3.5303459877886662E-3</v>
      </c>
    </row>
    <row r="13" spans="1:6" x14ac:dyDescent="0.25">
      <c r="B13" t="s">
        <v>11</v>
      </c>
      <c r="C13" t="s">
        <v>12</v>
      </c>
    </row>
    <row r="14" spans="1:6" x14ac:dyDescent="0.25">
      <c r="B14">
        <f>B8+B11</f>
        <v>-1.4130921607915747E-2</v>
      </c>
      <c r="C14">
        <f>C8+C11</f>
        <v>1.4130921607915747E-2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Edwin</vt:lpstr>
      <vt:lpstr>EdmundOptics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Alexani</dc:creator>
  <cp:lastModifiedBy>Edwin Alexani</cp:lastModifiedBy>
  <dcterms:created xsi:type="dcterms:W3CDTF">2024-04-17T13:35:21Z</dcterms:created>
  <dcterms:modified xsi:type="dcterms:W3CDTF">2024-04-18T02:28:03Z</dcterms:modified>
</cp:coreProperties>
</file>